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7FD2F217-3B24-034E-9E6E-6F6F6E63A57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Hoja3" sheetId="2" r:id="rId1"/>
  </sheets>
  <definedNames>
    <definedName name="_xlnm.Print_Area" localSheetId="0">Hoja3!$B$1:$L$23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2" l="1"/>
  <c r="H34" i="2"/>
  <c r="G34" i="2"/>
  <c r="F34" i="2"/>
  <c r="H33" i="2"/>
  <c r="G33" i="2"/>
  <c r="F33" i="2"/>
  <c r="I33" i="2"/>
  <c r="K33" i="2"/>
  <c r="G35" i="2"/>
  <c r="F35" i="2"/>
  <c r="H10" i="2"/>
  <c r="H12" i="2"/>
  <c r="G12" i="2"/>
  <c r="H11" i="2"/>
  <c r="H19" i="2"/>
  <c r="H20" i="2"/>
  <c r="H31" i="2"/>
  <c r="H36" i="2"/>
  <c r="H48" i="2"/>
  <c r="H59" i="2"/>
  <c r="H60" i="2"/>
  <c r="H58" i="2"/>
  <c r="H56" i="2"/>
  <c r="H29" i="2"/>
  <c r="H32" i="2"/>
  <c r="H30" i="2"/>
  <c r="H37" i="2"/>
  <c r="H38" i="2"/>
  <c r="H18" i="2"/>
  <c r="H21" i="2"/>
  <c r="H57" i="2"/>
  <c r="H39" i="2"/>
  <c r="I34" i="2"/>
  <c r="K34" i="2"/>
  <c r="I35" i="2"/>
  <c r="J35" i="2"/>
  <c r="K35" i="2"/>
  <c r="I58" i="2"/>
  <c r="K58" i="2"/>
  <c r="I59" i="2"/>
  <c r="K59" i="2"/>
  <c r="I56" i="2"/>
  <c r="K56" i="2"/>
  <c r="I60" i="2"/>
  <c r="K60" i="2"/>
  <c r="I48" i="2"/>
  <c r="K48" i="2"/>
  <c r="I12" i="2"/>
  <c r="K12" i="2"/>
  <c r="I10" i="2"/>
  <c r="K10" i="2"/>
  <c r="I30" i="2"/>
  <c r="K30" i="2"/>
  <c r="I32" i="2"/>
  <c r="K32" i="2"/>
  <c r="I31" i="2"/>
  <c r="K31" i="2"/>
  <c r="I37" i="2"/>
  <c r="K37" i="2"/>
  <c r="I38" i="2"/>
  <c r="K38" i="2"/>
  <c r="I29" i="2"/>
  <c r="K29" i="2"/>
  <c r="I20" i="2"/>
  <c r="K20" i="2"/>
  <c r="I19" i="2"/>
  <c r="K19" i="2"/>
  <c r="F18" i="2"/>
  <c r="G36" i="2"/>
  <c r="G11" i="2"/>
  <c r="I11" i="2"/>
  <c r="K11" i="2"/>
  <c r="G57" i="2"/>
  <c r="F57" i="2"/>
  <c r="I57" i="2"/>
  <c r="K57" i="2"/>
  <c r="E18" i="2"/>
  <c r="I18" i="2"/>
  <c r="K18" i="2"/>
  <c r="G49" i="2"/>
  <c r="F39" i="2"/>
  <c r="I39" i="2"/>
  <c r="K39" i="2"/>
  <c r="G21" i="2"/>
  <c r="F21" i="2"/>
  <c r="I21" i="2"/>
  <c r="K21" i="2"/>
  <c r="I36" i="2"/>
  <c r="K36" i="2"/>
</calcChain>
</file>

<file path=xl/sharedStrings.xml><?xml version="1.0" encoding="utf-8"?>
<sst xmlns="http://schemas.openxmlformats.org/spreadsheetml/2006/main" count="135" uniqueCount="54">
  <si>
    <t>APELLIDOS Y NOMBRES</t>
  </si>
  <si>
    <t>DNI</t>
  </si>
  <si>
    <t>REGISTRO DE DOCUMENTO</t>
  </si>
  <si>
    <t>EVALUACIÓN</t>
  </si>
  <si>
    <t>OBSERVACIÓN</t>
  </si>
  <si>
    <t>FORMACIÓN PROFESIONAL</t>
  </si>
  <si>
    <t>CAPACITACIÓN</t>
  </si>
  <si>
    <t>EXPERIENCIA LABORAL</t>
  </si>
  <si>
    <t>PERSONAL DE MANTENIMIENTO</t>
  </si>
  <si>
    <t>COORDINADOR (a) DE INNOVACIÓN Y SOPORTE TECNOLÓGICO</t>
  </si>
  <si>
    <t>PSICÓLOGO (a)</t>
  </si>
  <si>
    <t>PROFESIONAL I PARA EQUIPO ITINERANTE DE CONVIVENCIA ESCOLAR</t>
  </si>
  <si>
    <t>PROFESIONAL II PARA EQUIPO ITINERANTE DE CONVIVENCIA ESCOLAR</t>
  </si>
  <si>
    <t>VELASQUEZ ESPINOZA MICAELA</t>
  </si>
  <si>
    <t>REYNOSO OLORTEGUI JORGE</t>
  </si>
  <si>
    <t>CABANILLAS LOPEZ JUAN YONY</t>
  </si>
  <si>
    <t>FLORES JARA YUQUIN JHOVANY</t>
  </si>
  <si>
    <t>TOLENTINO VIDAL MEDALY  ROSARIO</t>
  </si>
  <si>
    <t>TENORIO ESPINOZA ALEXANDER</t>
  </si>
  <si>
    <t>LUNA HUAREZ JADIRA JHOSELYN</t>
  </si>
  <si>
    <t>VIDAL ZEVALLOS YOEL FREDY</t>
  </si>
  <si>
    <t>ARANDA DOMINGUEZ MONICA TEODORA</t>
  </si>
  <si>
    <t>GOMEZ BLAS LESLIE JESSENIA</t>
  </si>
  <si>
    <t>SALINAS MORI LIZ</t>
  </si>
  <si>
    <t>ESTRADA LEIVA TEODORICO</t>
  </si>
  <si>
    <t>COASACA QUIJANO HERNAN PAOLO</t>
  </si>
  <si>
    <t>CERNA SILVA HEYDI ZARAI</t>
  </si>
  <si>
    <t>ZOTO MEJIA MELINA LESLIE</t>
  </si>
  <si>
    <t>SANTISTEBAN BENANCIO ELCHITA</t>
  </si>
  <si>
    <t>RUBIO CRUZADO MIRELIA NATHALY</t>
  </si>
  <si>
    <t>BARON JARA NANCY ISABEL</t>
  </si>
  <si>
    <t xml:space="preserve">ALVARES FLORES JEAN CARLOS </t>
  </si>
  <si>
    <t>MIGUEL PEREZ BRIGITTE DE LOS ANGELES</t>
  </si>
  <si>
    <t>ARIZA ESPINOZA ROBERT</t>
  </si>
  <si>
    <t>AVALOS SOLIS SELENE ADELMIRA</t>
  </si>
  <si>
    <t>CASTILLO COLLAZOS JOSSELYN JANET</t>
  </si>
  <si>
    <t>PEREZ PALACIOS LISBETH PAOLA</t>
  </si>
  <si>
    <t>PIMENTEL ESPINOZA VICTOR</t>
  </si>
  <si>
    <t>ACUÑA CERNA LUDY</t>
  </si>
  <si>
    <t xml:space="preserve">VILLAFANE RAMOS FLOR SHEYLA </t>
  </si>
  <si>
    <t>VERAMENDI GAMARRA REIDA</t>
  </si>
  <si>
    <t>CARLOS SANCHEZ EDWIN</t>
  </si>
  <si>
    <t>LIMAS OLORTEGUI OSCAR</t>
  </si>
  <si>
    <t>N°</t>
  </si>
  <si>
    <t>ENTREVISTA PERSONAL</t>
  </si>
  <si>
    <t>PUNTAJE FINAL</t>
  </si>
  <si>
    <t>BONIFICACION POR DISCAPACIDAD</t>
  </si>
  <si>
    <t>PUNTAJE</t>
  </si>
  <si>
    <t>BARDALES MACHUCA JULIA EMELY</t>
  </si>
  <si>
    <t>NSP</t>
  </si>
  <si>
    <t>-</t>
  </si>
  <si>
    <t>ADJUDICA</t>
  </si>
  <si>
    <t>ACCESITARIO</t>
  </si>
  <si>
    <t>RESULTADO FINAL  DEL PROCESO CAS N° 005-2026 UGEL HUACAYBAMBA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</si>
</sst>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6" fillId="0" borderId="0" xfId="0" applyFont="1" applyFill="1"/>
    <xf numFmtId="14" fontId="5" fillId="0" borderId="1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/>
    <xf numFmtId="0" fontId="4" fillId="2" borderId="5" xfId="0" applyNumberFormat="1" applyFont="1" applyFill="1" applyBorder="1" applyAlignment="1">
      <alignment horizontal="center" vertical="center" wrapText="1"/>
    </xf>
    <xf numFmtId="164" fontId="1" fillId="0" borderId="1" xfId="1" applyFont="1" applyFill="1" applyBorder="1" applyAlignment="1">
      <alignment horizontal="center"/>
    </xf>
    <xf numFmtId="164" fontId="3" fillId="0" borderId="1" xfId="1" applyFont="1" applyFill="1" applyBorder="1" applyAlignment="1">
      <alignment horizontal="center"/>
    </xf>
    <xf numFmtId="164" fontId="1" fillId="0" borderId="1" xfId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1" xfId="0" applyFont="1" applyFill="1" applyBorder="1"/>
    <xf numFmtId="0" fontId="3" fillId="0" borderId="1" xfId="0" applyFont="1" applyFill="1" applyBorder="1" applyAlignment="1">
      <alignment horizontal="left"/>
    </xf>
    <xf numFmtId="164" fontId="3" fillId="0" borderId="1" xfId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ont="1" applyFill="1"/>
    <xf numFmtId="14" fontId="8" fillId="0" borderId="1" xfId="0" applyNumberFormat="1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vertical="center" wrapText="1"/>
    </xf>
    <xf numFmtId="9" fontId="4" fillId="2" borderId="5" xfId="2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 /><Relationship Id="rId2" Type="http://schemas.openxmlformats.org/officeDocument/2006/relationships/image" Target="../media/image2.jpeg" /><Relationship Id="rId1" Type="http://schemas.openxmlformats.org/officeDocument/2006/relationships/image" Target="../media/image1.jpeg" /><Relationship Id="rId4" Type="http://schemas.openxmlformats.org/officeDocument/2006/relationships/image" Target="../media/image4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3029478</xdr:colOff>
      <xdr:row>0</xdr:row>
      <xdr:rowOff>122261</xdr:rowOff>
    </xdr:from>
    <xdr:to>
      <xdr:col>11</xdr:col>
      <xdr:colOff>2918354</xdr:colOff>
      <xdr:row>4</xdr:row>
      <xdr:rowOff>13230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3258078" y="122261"/>
          <a:ext cx="13542530" cy="659897"/>
          <a:chOff x="2232291" y="76200"/>
          <a:chExt cx="6562459" cy="568325"/>
        </a:xfrm>
      </xdr:grpSpPr>
      <xdr:pic>
        <xdr:nvPicPr>
          <xdr:cNvPr id="6" name="Imagen 5" descr="C:\Users\DELL\Pictures\WhatsApp Image 2021-06-02 at 9.39.41 AM.jpeg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016750" y="76200"/>
            <a:ext cx="488490" cy="568325"/>
          </a:xfrm>
          <a:prstGeom prst="ellipse">
            <a:avLst/>
          </a:prstGeom>
          <a:ln w="3175" cap="rnd">
            <a:noFill/>
          </a:ln>
          <a:effectLst>
            <a:outerShdw blurRad="381000" dist="292100" dir="5400000" sx="-80000" sy="-18000" rotWithShape="0">
              <a:srgbClr val="000000">
                <a:alpha val="22000"/>
              </a:srgbClr>
            </a:outerShdw>
          </a:effectLst>
          <a:scene3d>
            <a:camera prst="orthographicFront"/>
            <a:lightRig rig="contrasting" dir="t">
              <a:rot lat="0" lon="0" rev="3000000"/>
            </a:lightRig>
          </a:scene3d>
          <a:sp3d contourW="7620">
            <a:bevelT w="95250" h="31750"/>
            <a:contourClr>
              <a:srgbClr val="333333"/>
            </a:contourClr>
          </a:sp3d>
        </xdr:spPr>
      </xdr:pic>
      <xdr:sp macro="" textlink="">
        <xdr:nvSpPr>
          <xdr:cNvPr id="7" name="Cuadro de texto 21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/>
        </xdr:nvSpPr>
        <xdr:spPr>
          <a:xfrm>
            <a:off x="7518400" y="164465"/>
            <a:ext cx="1276350" cy="349885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PE" sz="1200" b="1">
                <a:solidFill>
                  <a:srgbClr val="3C3CC2"/>
                </a:solidFill>
                <a:effectLst/>
                <a:latin typeface="Berlin Sans FB Demi" panose="020E0802020502020306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EDUCACIÓN UGEL</a:t>
            </a:r>
            <a:endParaRPr lang="en-US" sz="16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PE" sz="1600" b="1">
                <a:solidFill>
                  <a:srgbClr val="3C3CC2"/>
                </a:solidFill>
                <a:effectLst/>
                <a:latin typeface="Berlin Sans FB Demi" panose="020E0802020502020306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HUACAYBAMBA</a:t>
            </a:r>
            <a:endParaRPr lang="en-US" sz="16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pic>
        <xdr:nvPicPr>
          <xdr:cNvPr id="8" name="Imagen 7" descr="MINEDU Designan Jefe de Comunicaciones - Red de gestores públicos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/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42" t="9901" r="3114" b="7916"/>
          <a:stretch/>
        </xdr:blipFill>
        <xdr:spPr bwMode="auto">
          <a:xfrm>
            <a:off x="2232291" y="159723"/>
            <a:ext cx="1721485" cy="457200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xdr:twoCellAnchor editAs="oneCell">
    <xdr:from>
      <xdr:col>4</xdr:col>
      <xdr:colOff>211667</xdr:colOff>
      <xdr:row>0</xdr:row>
      <xdr:rowOff>116417</xdr:rowOff>
    </xdr:from>
    <xdr:to>
      <xdr:col>6</xdr:col>
      <xdr:colOff>444500</xdr:colOff>
      <xdr:row>3</xdr:row>
      <xdr:rowOff>176953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3750" y="116417"/>
          <a:ext cx="2275416" cy="6320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677333</xdr:colOff>
      <xdr:row>0</xdr:row>
      <xdr:rowOff>0</xdr:rowOff>
    </xdr:from>
    <xdr:to>
      <xdr:col>8</xdr:col>
      <xdr:colOff>254930</xdr:colOff>
      <xdr:row>4</xdr:row>
      <xdr:rowOff>111126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603" t="14596" r="15375" b="10966"/>
        <a:stretch/>
      </xdr:blipFill>
      <xdr:spPr bwMode="auto">
        <a:xfrm>
          <a:off x="8382000" y="0"/>
          <a:ext cx="1587500" cy="87312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L60"/>
  <sheetViews>
    <sheetView showGridLines="0" tabSelected="1" topLeftCell="A16" zoomScale="70" zoomScaleNormal="70" zoomScalePageLayoutView="70" workbookViewId="0">
      <selection activeCell="J39" sqref="J39"/>
    </sheetView>
  </sheetViews>
  <sheetFormatPr defaultColWidth="10.76171875" defaultRowHeight="15" x14ac:dyDescent="0.2"/>
  <cols>
    <col min="1" max="1" width="3.2265625" bestFit="1" customWidth="1"/>
    <col min="2" max="2" width="50.4453125" style="2" customWidth="1"/>
    <col min="3" max="3" width="17.890625" style="1" customWidth="1"/>
    <col min="4" max="4" width="22.734375" style="1" customWidth="1"/>
    <col min="5" max="5" width="15.73828125" style="1" customWidth="1"/>
    <col min="6" max="6" width="14.796875" style="1" customWidth="1"/>
    <col min="7" max="8" width="15.19921875" style="1" customWidth="1"/>
    <col min="9" max="9" width="15.19921875" style="24" customWidth="1"/>
    <col min="10" max="10" width="25.69140625" style="1" customWidth="1"/>
    <col min="11" max="11" width="13.85546875" style="1" customWidth="1"/>
    <col min="12" max="12" width="27.171875" style="1" customWidth="1"/>
  </cols>
  <sheetData>
    <row r="5" spans="1:12" ht="14.45" customHeight="1" x14ac:dyDescent="0.2">
      <c r="B5" s="45" t="s">
        <v>53</v>
      </c>
      <c r="C5" s="45"/>
      <c r="D5" s="45"/>
      <c r="E5" s="45"/>
      <c r="F5" s="45"/>
      <c r="G5" s="45"/>
      <c r="H5" s="45"/>
      <c r="I5" s="45"/>
      <c r="J5" s="45"/>
      <c r="K5" s="45"/>
      <c r="L5" s="45"/>
    </row>
    <row r="6" spans="1:12" ht="14.45" customHeight="1" x14ac:dyDescent="0.2"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</row>
    <row r="7" spans="1:12" ht="18" customHeight="1" x14ac:dyDescent="0.25">
      <c r="A7" s="40" t="s">
        <v>8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</row>
    <row r="8" spans="1:12" ht="15.6" customHeight="1" x14ac:dyDescent="0.2">
      <c r="A8" s="37" t="s">
        <v>43</v>
      </c>
      <c r="B8" s="37" t="s">
        <v>0</v>
      </c>
      <c r="C8" s="38" t="s">
        <v>1</v>
      </c>
      <c r="D8" s="39" t="s">
        <v>2</v>
      </c>
      <c r="E8" s="42" t="s">
        <v>3</v>
      </c>
      <c r="F8" s="43"/>
      <c r="G8" s="43"/>
      <c r="H8" s="44"/>
      <c r="I8" s="35" t="s">
        <v>47</v>
      </c>
      <c r="J8" s="34">
        <v>0.15</v>
      </c>
      <c r="K8" s="41" t="s">
        <v>45</v>
      </c>
      <c r="L8" s="33" t="s">
        <v>4</v>
      </c>
    </row>
    <row r="9" spans="1:12" ht="30" x14ac:dyDescent="0.2">
      <c r="A9" s="37"/>
      <c r="B9" s="37"/>
      <c r="C9" s="38"/>
      <c r="D9" s="39"/>
      <c r="E9" s="6" t="s">
        <v>5</v>
      </c>
      <c r="F9" s="6" t="s">
        <v>6</v>
      </c>
      <c r="G9" s="6" t="s">
        <v>7</v>
      </c>
      <c r="H9" s="13" t="s">
        <v>44</v>
      </c>
      <c r="I9" s="36"/>
      <c r="J9" s="20" t="s">
        <v>46</v>
      </c>
      <c r="K9" s="41"/>
      <c r="L9" s="33"/>
    </row>
    <row r="10" spans="1:12" s="15" customFormat="1" ht="18.75" x14ac:dyDescent="0.25">
      <c r="A10" s="19">
        <v>1</v>
      </c>
      <c r="B10" s="3" t="s">
        <v>14</v>
      </c>
      <c r="C10" s="4">
        <v>42731672</v>
      </c>
      <c r="D10" s="4">
        <v>6940302</v>
      </c>
      <c r="E10" s="4">
        <v>12</v>
      </c>
      <c r="F10" s="4">
        <v>8</v>
      </c>
      <c r="G10" s="4">
        <v>18</v>
      </c>
      <c r="H10" s="21">
        <f>(26+34+20)/3</f>
        <v>26.666666666666668</v>
      </c>
      <c r="I10" s="22">
        <f>SUM(E10:H10)</f>
        <v>64.666666666666671</v>
      </c>
      <c r="J10" s="21">
        <v>0</v>
      </c>
      <c r="K10" s="23">
        <f>+I10+J10</f>
        <v>64.666666666666671</v>
      </c>
      <c r="L10" s="5" t="s">
        <v>51</v>
      </c>
    </row>
    <row r="11" spans="1:12" s="15" customFormat="1" ht="18.75" x14ac:dyDescent="0.25">
      <c r="A11" s="19">
        <v>3</v>
      </c>
      <c r="B11" s="3" t="s">
        <v>15</v>
      </c>
      <c r="C11" s="4">
        <v>41471840</v>
      </c>
      <c r="D11" s="4">
        <v>6971673</v>
      </c>
      <c r="E11" s="4">
        <v>12</v>
      </c>
      <c r="F11" s="4">
        <v>8</v>
      </c>
      <c r="G11" s="4">
        <f>3.8+9.5</f>
        <v>13.3</v>
      </c>
      <c r="H11" s="21">
        <f>+(24+40+16)/3</f>
        <v>26.666666666666668</v>
      </c>
      <c r="I11" s="22">
        <f t="shared" ref="I11:I12" si="0">SUM(E11:H11)</f>
        <v>59.966666666666669</v>
      </c>
      <c r="J11" s="21">
        <v>0</v>
      </c>
      <c r="K11" s="23">
        <f t="shared" ref="K11:K12" si="1">+I11+J11</f>
        <v>59.966666666666669</v>
      </c>
      <c r="L11" s="5" t="s">
        <v>51</v>
      </c>
    </row>
    <row r="12" spans="1:12" s="15" customFormat="1" ht="18.75" x14ac:dyDescent="0.25">
      <c r="A12" s="19">
        <v>2</v>
      </c>
      <c r="B12" s="3" t="s">
        <v>13</v>
      </c>
      <c r="C12" s="4">
        <v>71327920</v>
      </c>
      <c r="D12" s="4">
        <v>6970925</v>
      </c>
      <c r="E12" s="4">
        <v>12</v>
      </c>
      <c r="F12" s="4">
        <v>8</v>
      </c>
      <c r="G12" s="4">
        <f>3.8+9.5</f>
        <v>13.3</v>
      </c>
      <c r="H12" s="21">
        <f>(20+40+18)/3</f>
        <v>26</v>
      </c>
      <c r="I12" s="22">
        <f t="shared" si="0"/>
        <v>59.3</v>
      </c>
      <c r="J12" s="21">
        <v>0</v>
      </c>
      <c r="K12" s="23">
        <f t="shared" si="1"/>
        <v>59.3</v>
      </c>
      <c r="L12" s="5" t="s">
        <v>51</v>
      </c>
    </row>
    <row r="15" spans="1:12" ht="18.75" x14ac:dyDescent="0.25">
      <c r="A15" s="40" t="s">
        <v>9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</row>
    <row r="16" spans="1:12" ht="15.75" customHeight="1" x14ac:dyDescent="0.2">
      <c r="A16" s="37" t="s">
        <v>43</v>
      </c>
      <c r="B16" s="37" t="s">
        <v>0</v>
      </c>
      <c r="C16" s="38" t="s">
        <v>1</v>
      </c>
      <c r="D16" s="39" t="s">
        <v>2</v>
      </c>
      <c r="E16" s="42" t="s">
        <v>3</v>
      </c>
      <c r="F16" s="43"/>
      <c r="G16" s="43"/>
      <c r="H16" s="44"/>
      <c r="I16" s="35" t="s">
        <v>47</v>
      </c>
      <c r="J16" s="34">
        <v>0.15</v>
      </c>
      <c r="K16" s="41" t="s">
        <v>45</v>
      </c>
      <c r="L16" s="41" t="s">
        <v>4</v>
      </c>
    </row>
    <row r="17" spans="1:12" ht="30" x14ac:dyDescent="0.2">
      <c r="A17" s="37"/>
      <c r="B17" s="37"/>
      <c r="C17" s="38"/>
      <c r="D17" s="39"/>
      <c r="E17" s="6" t="s">
        <v>5</v>
      </c>
      <c r="F17" s="6" t="s">
        <v>6</v>
      </c>
      <c r="G17" s="6" t="s">
        <v>7</v>
      </c>
      <c r="H17" s="13" t="s">
        <v>44</v>
      </c>
      <c r="I17" s="36"/>
      <c r="J17" s="20" t="s">
        <v>46</v>
      </c>
      <c r="K17" s="41"/>
      <c r="L17" s="41"/>
    </row>
    <row r="18" spans="1:12" s="15" customFormat="1" ht="18.75" x14ac:dyDescent="0.25">
      <c r="A18" s="19">
        <v>1</v>
      </c>
      <c r="B18" s="16" t="s">
        <v>20</v>
      </c>
      <c r="C18" s="17">
        <v>74539055</v>
      </c>
      <c r="D18" s="18">
        <v>6947637</v>
      </c>
      <c r="E18" s="4">
        <f>12+2</f>
        <v>14</v>
      </c>
      <c r="F18" s="4">
        <f>8+10</f>
        <v>18</v>
      </c>
      <c r="G18" s="4">
        <v>0</v>
      </c>
      <c r="H18" s="21">
        <f>+(34+34+19)/3</f>
        <v>29</v>
      </c>
      <c r="I18" s="22">
        <f>SUM(E18:H18)</f>
        <v>61</v>
      </c>
      <c r="J18" s="21">
        <v>0</v>
      </c>
      <c r="K18" s="23">
        <f>+I18+J18</f>
        <v>61</v>
      </c>
      <c r="L18" s="5" t="s">
        <v>51</v>
      </c>
    </row>
    <row r="19" spans="1:12" s="14" customFormat="1" ht="18.75" x14ac:dyDescent="0.25">
      <c r="A19" s="19">
        <v>2</v>
      </c>
      <c r="B19" s="16" t="s">
        <v>40</v>
      </c>
      <c r="C19" s="17">
        <v>73306868</v>
      </c>
      <c r="D19" s="18">
        <v>6956286</v>
      </c>
      <c r="E19" s="7">
        <v>4</v>
      </c>
      <c r="F19" s="7">
        <v>8</v>
      </c>
      <c r="G19" s="7">
        <v>14</v>
      </c>
      <c r="H19" s="22">
        <f>(32+40+32)/3</f>
        <v>34.666666666666664</v>
      </c>
      <c r="I19" s="22">
        <f>SUM(E19:H19)</f>
        <v>60.666666666666664</v>
      </c>
      <c r="J19" s="21">
        <v>0</v>
      </c>
      <c r="K19" s="23">
        <f>+I19+J19</f>
        <v>60.666666666666664</v>
      </c>
      <c r="L19" s="5" t="s">
        <v>51</v>
      </c>
    </row>
    <row r="20" spans="1:12" s="14" customFormat="1" ht="18.75" x14ac:dyDescent="0.25">
      <c r="A20" s="19">
        <v>3</v>
      </c>
      <c r="B20" s="16" t="s">
        <v>42</v>
      </c>
      <c r="C20" s="17">
        <v>45338056</v>
      </c>
      <c r="D20" s="18">
        <v>6952544</v>
      </c>
      <c r="E20" s="7">
        <v>12</v>
      </c>
      <c r="F20" s="7">
        <v>8</v>
      </c>
      <c r="G20" s="7">
        <v>7.1</v>
      </c>
      <c r="H20" s="22">
        <f>(32+36+32)/3</f>
        <v>33.333333333333336</v>
      </c>
      <c r="I20" s="22">
        <f>SUM(E20:H20)</f>
        <v>60.433333333333337</v>
      </c>
      <c r="J20" s="21">
        <v>0</v>
      </c>
      <c r="K20" s="23">
        <f>+I20+J20</f>
        <v>60.433333333333337</v>
      </c>
      <c r="L20" s="5" t="s">
        <v>51</v>
      </c>
    </row>
    <row r="21" spans="1:12" s="14" customFormat="1" ht="18.75" x14ac:dyDescent="0.25">
      <c r="A21" s="19">
        <v>4</v>
      </c>
      <c r="B21" s="3" t="s">
        <v>31</v>
      </c>
      <c r="C21" s="4">
        <v>73304964</v>
      </c>
      <c r="D21" s="4">
        <v>6954057</v>
      </c>
      <c r="E21" s="7">
        <v>4</v>
      </c>
      <c r="F21" s="7">
        <f>5+8</f>
        <v>13</v>
      </c>
      <c r="G21" s="7">
        <f>7.4+10</f>
        <v>17.399999999999999</v>
      </c>
      <c r="H21" s="22">
        <f>(20+12+32)/3</f>
        <v>21.333333333333332</v>
      </c>
      <c r="I21" s="22">
        <f>SUM(E21:H21)</f>
        <v>55.733333333333334</v>
      </c>
      <c r="J21" s="21">
        <v>0</v>
      </c>
      <c r="K21" s="23">
        <f t="shared" ref="K21" si="2">+I21+J21</f>
        <v>55.733333333333334</v>
      </c>
      <c r="L21" s="5" t="s">
        <v>51</v>
      </c>
    </row>
    <row r="22" spans="1:12" s="29" customFormat="1" ht="18.75" x14ac:dyDescent="0.25">
      <c r="A22" s="25">
        <v>5</v>
      </c>
      <c r="B22" s="26" t="s">
        <v>41</v>
      </c>
      <c r="C22" s="7">
        <v>45174365</v>
      </c>
      <c r="D22" s="7">
        <v>6971763</v>
      </c>
      <c r="E22" s="7">
        <v>12</v>
      </c>
      <c r="F22" s="7">
        <v>18</v>
      </c>
      <c r="G22" s="7">
        <v>10</v>
      </c>
      <c r="H22" s="22" t="s">
        <v>49</v>
      </c>
      <c r="I22" s="22">
        <v>0</v>
      </c>
      <c r="J22" s="22">
        <v>0</v>
      </c>
      <c r="K22" s="27" t="s">
        <v>50</v>
      </c>
      <c r="L22" s="28"/>
    </row>
    <row r="23" spans="1:12" s="29" customFormat="1" ht="18.75" x14ac:dyDescent="0.25">
      <c r="A23" s="25">
        <v>6</v>
      </c>
      <c r="B23" s="30" t="s">
        <v>18</v>
      </c>
      <c r="C23" s="31">
        <v>70576188</v>
      </c>
      <c r="D23" s="32">
        <v>6970460</v>
      </c>
      <c r="E23" s="7">
        <v>12</v>
      </c>
      <c r="F23" s="7">
        <v>14</v>
      </c>
      <c r="G23" s="7">
        <v>0</v>
      </c>
      <c r="H23" s="22" t="s">
        <v>49</v>
      </c>
      <c r="I23" s="22">
        <v>0</v>
      </c>
      <c r="J23" s="22">
        <v>0</v>
      </c>
      <c r="K23" s="27" t="s">
        <v>50</v>
      </c>
      <c r="L23" s="28"/>
    </row>
    <row r="26" spans="1:12" ht="18.75" x14ac:dyDescent="0.25">
      <c r="A26" s="40" t="s">
        <v>10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</row>
    <row r="27" spans="1:12" ht="15.75" customHeight="1" x14ac:dyDescent="0.2">
      <c r="A27" s="37" t="s">
        <v>43</v>
      </c>
      <c r="B27" s="37" t="s">
        <v>0</v>
      </c>
      <c r="C27" s="38" t="s">
        <v>1</v>
      </c>
      <c r="D27" s="39" t="s">
        <v>2</v>
      </c>
      <c r="E27" s="42" t="s">
        <v>3</v>
      </c>
      <c r="F27" s="43"/>
      <c r="G27" s="43"/>
      <c r="H27" s="44"/>
      <c r="I27" s="35" t="s">
        <v>47</v>
      </c>
      <c r="J27" s="34">
        <v>0.15</v>
      </c>
      <c r="K27" s="41" t="s">
        <v>45</v>
      </c>
      <c r="L27" s="41" t="s">
        <v>4</v>
      </c>
    </row>
    <row r="28" spans="1:12" ht="30" x14ac:dyDescent="0.2">
      <c r="A28" s="37"/>
      <c r="B28" s="37"/>
      <c r="C28" s="38"/>
      <c r="D28" s="39"/>
      <c r="E28" s="8" t="s">
        <v>5</v>
      </c>
      <c r="F28" s="8" t="s">
        <v>6</v>
      </c>
      <c r="G28" s="8" t="s">
        <v>7</v>
      </c>
      <c r="H28" s="13" t="s">
        <v>44</v>
      </c>
      <c r="I28" s="36"/>
      <c r="J28" s="20" t="s">
        <v>46</v>
      </c>
      <c r="K28" s="41"/>
      <c r="L28" s="41"/>
    </row>
    <row r="29" spans="1:12" s="15" customFormat="1" ht="18.75" x14ac:dyDescent="0.25">
      <c r="A29" s="19">
        <v>1</v>
      </c>
      <c r="B29" s="3" t="s">
        <v>32</v>
      </c>
      <c r="C29" s="4">
        <v>76081803</v>
      </c>
      <c r="D29" s="4">
        <v>6945580</v>
      </c>
      <c r="E29" s="4">
        <v>16</v>
      </c>
      <c r="F29" s="4">
        <v>18</v>
      </c>
      <c r="G29" s="4">
        <v>17.2</v>
      </c>
      <c r="H29" s="21">
        <f>(30+30+20)/3</f>
        <v>26.666666666666668</v>
      </c>
      <c r="I29" s="21">
        <f t="shared" ref="I29:I39" si="3">SUM(E29:H29)</f>
        <v>77.866666666666674</v>
      </c>
      <c r="J29" s="21">
        <v>0</v>
      </c>
      <c r="K29" s="23">
        <f t="shared" ref="K29:K39" si="4">+I29+J29</f>
        <v>77.866666666666674</v>
      </c>
      <c r="L29" s="5" t="s">
        <v>51</v>
      </c>
    </row>
    <row r="30" spans="1:12" s="15" customFormat="1" ht="18.75" x14ac:dyDescent="0.25">
      <c r="A30" s="19">
        <v>2</v>
      </c>
      <c r="B30" s="3" t="s">
        <v>17</v>
      </c>
      <c r="C30" s="4">
        <v>47826781</v>
      </c>
      <c r="D30" s="4">
        <v>6955651</v>
      </c>
      <c r="E30" s="4">
        <v>12</v>
      </c>
      <c r="F30" s="4">
        <v>18</v>
      </c>
      <c r="G30" s="4">
        <v>18</v>
      </c>
      <c r="H30" s="21">
        <f>(30+30+22)/3</f>
        <v>27.333333333333332</v>
      </c>
      <c r="I30" s="21">
        <f t="shared" si="3"/>
        <v>75.333333333333329</v>
      </c>
      <c r="J30" s="21">
        <v>0</v>
      </c>
      <c r="K30" s="23">
        <f t="shared" si="4"/>
        <v>75.333333333333329</v>
      </c>
      <c r="L30" s="5" t="s">
        <v>51</v>
      </c>
    </row>
    <row r="31" spans="1:12" s="15" customFormat="1" ht="18.75" x14ac:dyDescent="0.25">
      <c r="A31" s="19">
        <v>3</v>
      </c>
      <c r="B31" s="3" t="s">
        <v>35</v>
      </c>
      <c r="C31" s="4">
        <v>47667817</v>
      </c>
      <c r="D31" s="4">
        <v>694522</v>
      </c>
      <c r="E31" s="4">
        <v>12</v>
      </c>
      <c r="F31" s="4">
        <v>10</v>
      </c>
      <c r="G31" s="4">
        <v>18.600000000000001</v>
      </c>
      <c r="H31" s="21">
        <f>(34+40+20)/3</f>
        <v>31.333333333333332</v>
      </c>
      <c r="I31" s="21">
        <f t="shared" si="3"/>
        <v>71.933333333333337</v>
      </c>
      <c r="J31" s="21">
        <v>0</v>
      </c>
      <c r="K31" s="23">
        <f t="shared" si="4"/>
        <v>71.933333333333337</v>
      </c>
      <c r="L31" s="5" t="s">
        <v>51</v>
      </c>
    </row>
    <row r="32" spans="1:12" s="15" customFormat="1" ht="18.75" x14ac:dyDescent="0.25">
      <c r="A32" s="19">
        <v>4</v>
      </c>
      <c r="B32" s="3" t="s">
        <v>33</v>
      </c>
      <c r="C32" s="4">
        <v>72269296</v>
      </c>
      <c r="D32" s="4">
        <v>6945529</v>
      </c>
      <c r="E32" s="4">
        <v>12</v>
      </c>
      <c r="F32" s="4">
        <v>18</v>
      </c>
      <c r="G32" s="4">
        <v>10.6</v>
      </c>
      <c r="H32" s="21">
        <f>(30+22+38)/3</f>
        <v>30</v>
      </c>
      <c r="I32" s="21">
        <f t="shared" si="3"/>
        <v>70.599999999999994</v>
      </c>
      <c r="J32" s="21">
        <v>0</v>
      </c>
      <c r="K32" s="23">
        <f t="shared" si="4"/>
        <v>70.599999999999994</v>
      </c>
      <c r="L32" s="5" t="s">
        <v>51</v>
      </c>
    </row>
    <row r="33" spans="1:12" s="15" customFormat="1" ht="18.75" x14ac:dyDescent="0.25">
      <c r="A33" s="19">
        <v>5</v>
      </c>
      <c r="B33" s="3" t="s">
        <v>34</v>
      </c>
      <c r="C33" s="4">
        <v>71431186</v>
      </c>
      <c r="D33" s="4">
        <v>6955966</v>
      </c>
      <c r="E33" s="4">
        <v>12</v>
      </c>
      <c r="F33" s="4">
        <f>5+8</f>
        <v>13</v>
      </c>
      <c r="G33" s="4">
        <f>3.4+6.5</f>
        <v>9.9</v>
      </c>
      <c r="H33" s="21">
        <f>(34+23+40)/3</f>
        <v>32.333333333333336</v>
      </c>
      <c r="I33" s="21">
        <f>SUM(E33:H33)</f>
        <v>67.233333333333334</v>
      </c>
      <c r="J33" s="21">
        <v>0</v>
      </c>
      <c r="K33" s="23">
        <f>+I33+J33</f>
        <v>67.233333333333334</v>
      </c>
      <c r="L33" s="5" t="s">
        <v>51</v>
      </c>
    </row>
    <row r="34" spans="1:12" s="15" customFormat="1" ht="18.75" x14ac:dyDescent="0.25">
      <c r="A34" s="19">
        <v>6</v>
      </c>
      <c r="B34" s="3" t="s">
        <v>28</v>
      </c>
      <c r="C34" s="4">
        <v>71382239</v>
      </c>
      <c r="D34" s="4">
        <v>6971499</v>
      </c>
      <c r="E34" s="4">
        <v>12</v>
      </c>
      <c r="F34" s="4">
        <f>5+6</f>
        <v>11</v>
      </c>
      <c r="G34" s="4">
        <f>1.8+5.5</f>
        <v>7.3</v>
      </c>
      <c r="H34" s="21">
        <f>(35+34+40)/3</f>
        <v>36.333333333333336</v>
      </c>
      <c r="I34" s="21">
        <f t="shared" ref="I34" si="5">SUM(E34:H34)</f>
        <v>66.63333333333334</v>
      </c>
      <c r="J34" s="21">
        <v>0</v>
      </c>
      <c r="K34" s="23">
        <f t="shared" ref="K34" si="6">+I34+J34</f>
        <v>66.63333333333334</v>
      </c>
      <c r="L34" s="5" t="s">
        <v>51</v>
      </c>
    </row>
    <row r="35" spans="1:12" s="15" customFormat="1" ht="18.75" x14ac:dyDescent="0.25">
      <c r="A35" s="19">
        <v>7</v>
      </c>
      <c r="B35" s="26" t="s">
        <v>16</v>
      </c>
      <c r="C35" s="7">
        <v>47014203</v>
      </c>
      <c r="D35" s="7">
        <v>6955700</v>
      </c>
      <c r="E35" s="7">
        <v>12</v>
      </c>
      <c r="F35" s="7">
        <f>5+8</f>
        <v>13</v>
      </c>
      <c r="G35" s="7">
        <f>3.6+9</f>
        <v>12.6</v>
      </c>
      <c r="H35" s="22">
        <f>(32+15+13)/3</f>
        <v>20</v>
      </c>
      <c r="I35" s="22">
        <f t="shared" ref="I35" si="7">SUM(E35:H35)</f>
        <v>57.6</v>
      </c>
      <c r="J35" s="22">
        <f>+I35*J$27</f>
        <v>8.64</v>
      </c>
      <c r="K35" s="27">
        <f t="shared" ref="K35" si="8">+I35+J35</f>
        <v>66.240000000000009</v>
      </c>
      <c r="L35" s="28" t="s">
        <v>52</v>
      </c>
    </row>
    <row r="36" spans="1:12" s="29" customFormat="1" ht="18.75" x14ac:dyDescent="0.25">
      <c r="A36" s="25">
        <v>8</v>
      </c>
      <c r="B36" s="26" t="s">
        <v>26</v>
      </c>
      <c r="C36" s="7">
        <v>71562569</v>
      </c>
      <c r="D36" s="7">
        <v>6935146</v>
      </c>
      <c r="E36" s="7">
        <v>12</v>
      </c>
      <c r="F36" s="7">
        <v>8</v>
      </c>
      <c r="G36" s="7">
        <f>6.8+8.5</f>
        <v>15.3</v>
      </c>
      <c r="H36" s="22">
        <f>(32+40+20)/3</f>
        <v>30.666666666666668</v>
      </c>
      <c r="I36" s="22">
        <f t="shared" si="3"/>
        <v>65.966666666666669</v>
      </c>
      <c r="J36" s="22">
        <v>0</v>
      </c>
      <c r="K36" s="27">
        <f t="shared" si="4"/>
        <v>65.966666666666669</v>
      </c>
      <c r="L36" s="28" t="s">
        <v>52</v>
      </c>
    </row>
    <row r="37" spans="1:12" s="29" customFormat="1" ht="18.600000000000001" customHeight="1" x14ac:dyDescent="0.25">
      <c r="A37" s="25">
        <v>9</v>
      </c>
      <c r="B37" s="26" t="s">
        <v>29</v>
      </c>
      <c r="C37" s="7">
        <v>74145549</v>
      </c>
      <c r="D37" s="7">
        <v>6953430</v>
      </c>
      <c r="E37" s="7">
        <v>12</v>
      </c>
      <c r="F37" s="7">
        <v>18</v>
      </c>
      <c r="G37" s="7">
        <v>4.5</v>
      </c>
      <c r="H37" s="22">
        <f>(23+28+32)/3</f>
        <v>27.666666666666668</v>
      </c>
      <c r="I37" s="22">
        <f t="shared" si="3"/>
        <v>62.166666666666671</v>
      </c>
      <c r="J37" s="22">
        <v>0</v>
      </c>
      <c r="K37" s="27">
        <f t="shared" si="4"/>
        <v>62.166666666666671</v>
      </c>
      <c r="L37" s="28" t="s">
        <v>52</v>
      </c>
    </row>
    <row r="38" spans="1:12" s="29" customFormat="1" ht="18.75" x14ac:dyDescent="0.25">
      <c r="A38" s="25">
        <v>10</v>
      </c>
      <c r="B38" s="26" t="s">
        <v>27</v>
      </c>
      <c r="C38" s="7">
        <v>76299502</v>
      </c>
      <c r="D38" s="7">
        <v>6948681</v>
      </c>
      <c r="E38" s="7">
        <v>12</v>
      </c>
      <c r="F38" s="7">
        <v>18</v>
      </c>
      <c r="G38" s="7">
        <v>0</v>
      </c>
      <c r="H38" s="22">
        <f>(24+36+20)/3</f>
        <v>26.666666666666668</v>
      </c>
      <c r="I38" s="22">
        <f t="shared" si="3"/>
        <v>56.666666666666671</v>
      </c>
      <c r="J38" s="22">
        <v>0</v>
      </c>
      <c r="K38" s="27">
        <f t="shared" si="4"/>
        <v>56.666666666666671</v>
      </c>
      <c r="L38" s="28" t="s">
        <v>52</v>
      </c>
    </row>
    <row r="39" spans="1:12" s="29" customFormat="1" ht="18.75" x14ac:dyDescent="0.25">
      <c r="A39" s="25">
        <v>11</v>
      </c>
      <c r="B39" s="26" t="s">
        <v>25</v>
      </c>
      <c r="C39" s="7">
        <v>77816976</v>
      </c>
      <c r="D39" s="7">
        <v>6957458</v>
      </c>
      <c r="E39" s="7">
        <v>12</v>
      </c>
      <c r="F39" s="7">
        <f>5+8</f>
        <v>13</v>
      </c>
      <c r="G39" s="7">
        <v>0</v>
      </c>
      <c r="H39" s="22">
        <f>+(24+16+24)/3</f>
        <v>21.333333333333332</v>
      </c>
      <c r="I39" s="22">
        <f t="shared" si="3"/>
        <v>46.333333333333329</v>
      </c>
      <c r="J39" s="22">
        <v>0</v>
      </c>
      <c r="K39" s="27">
        <f t="shared" si="4"/>
        <v>46.333333333333329</v>
      </c>
      <c r="L39" s="28" t="s">
        <v>52</v>
      </c>
    </row>
    <row r="40" spans="1:12" s="29" customFormat="1" ht="18.75" x14ac:dyDescent="0.25">
      <c r="A40" s="25">
        <v>12</v>
      </c>
      <c r="B40" s="26" t="s">
        <v>30</v>
      </c>
      <c r="C40" s="7">
        <v>76612798</v>
      </c>
      <c r="D40" s="7">
        <v>6952742</v>
      </c>
      <c r="E40" s="7">
        <v>12</v>
      </c>
      <c r="F40" s="7">
        <v>18</v>
      </c>
      <c r="G40" s="7">
        <v>12.5</v>
      </c>
      <c r="H40" s="22" t="s">
        <v>49</v>
      </c>
      <c r="I40" s="22">
        <v>0</v>
      </c>
      <c r="J40" s="22">
        <v>0</v>
      </c>
      <c r="K40" s="27">
        <v>0</v>
      </c>
      <c r="L40" s="28"/>
    </row>
    <row r="41" spans="1:12" s="29" customFormat="1" ht="18.75" x14ac:dyDescent="0.25">
      <c r="A41" s="25">
        <v>13</v>
      </c>
      <c r="B41" s="26" t="s">
        <v>19</v>
      </c>
      <c r="C41" s="7">
        <v>76660282</v>
      </c>
      <c r="D41" s="7">
        <v>6957914</v>
      </c>
      <c r="E41" s="7">
        <v>12</v>
      </c>
      <c r="F41" s="7">
        <v>8</v>
      </c>
      <c r="G41" s="7">
        <v>15.8</v>
      </c>
      <c r="H41" s="22" t="s">
        <v>49</v>
      </c>
      <c r="I41" s="22">
        <v>0</v>
      </c>
      <c r="J41" s="22">
        <v>0</v>
      </c>
      <c r="K41" s="27">
        <v>0</v>
      </c>
      <c r="L41" s="28"/>
    </row>
    <row r="42" spans="1:12" s="29" customFormat="1" ht="18.75" x14ac:dyDescent="0.25">
      <c r="A42" s="25">
        <v>14</v>
      </c>
      <c r="B42" s="26" t="s">
        <v>23</v>
      </c>
      <c r="C42" s="7">
        <v>76908028</v>
      </c>
      <c r="D42" s="7">
        <v>6957908</v>
      </c>
      <c r="E42" s="7">
        <v>12</v>
      </c>
      <c r="F42" s="7">
        <v>18</v>
      </c>
      <c r="G42" s="7">
        <v>0</v>
      </c>
      <c r="H42" s="22" t="s">
        <v>49</v>
      </c>
      <c r="I42" s="22">
        <v>0</v>
      </c>
      <c r="J42" s="22">
        <v>0</v>
      </c>
      <c r="K42" s="27">
        <v>0</v>
      </c>
      <c r="L42" s="28"/>
    </row>
    <row r="45" spans="1:12" ht="18.75" x14ac:dyDescent="0.25">
      <c r="A45" s="40" t="s">
        <v>11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</row>
    <row r="46" spans="1:12" ht="15.75" customHeight="1" x14ac:dyDescent="0.2">
      <c r="A46" s="37" t="s">
        <v>43</v>
      </c>
      <c r="B46" s="37" t="s">
        <v>0</v>
      </c>
      <c r="C46" s="38" t="s">
        <v>1</v>
      </c>
      <c r="D46" s="39" t="s">
        <v>2</v>
      </c>
      <c r="E46" s="42" t="s">
        <v>3</v>
      </c>
      <c r="F46" s="43"/>
      <c r="G46" s="43"/>
      <c r="H46" s="44"/>
      <c r="I46" s="35" t="s">
        <v>47</v>
      </c>
      <c r="J46" s="34">
        <v>0.15</v>
      </c>
      <c r="K46" s="41" t="s">
        <v>45</v>
      </c>
      <c r="L46" s="41" t="s">
        <v>4</v>
      </c>
    </row>
    <row r="47" spans="1:12" ht="30" x14ac:dyDescent="0.2">
      <c r="A47" s="37"/>
      <c r="B47" s="37"/>
      <c r="C47" s="38"/>
      <c r="D47" s="39"/>
      <c r="E47" s="8" t="s">
        <v>5</v>
      </c>
      <c r="F47" s="8" t="s">
        <v>6</v>
      </c>
      <c r="G47" s="8" t="s">
        <v>7</v>
      </c>
      <c r="H47" s="13" t="s">
        <v>44</v>
      </c>
      <c r="I47" s="36"/>
      <c r="J47" s="20" t="s">
        <v>46</v>
      </c>
      <c r="K47" s="41"/>
      <c r="L47" s="41"/>
    </row>
    <row r="48" spans="1:12" s="14" customFormat="1" ht="18.75" x14ac:dyDescent="0.25">
      <c r="A48" s="19">
        <v>1</v>
      </c>
      <c r="B48" s="3" t="s">
        <v>36</v>
      </c>
      <c r="C48" s="4">
        <v>70861498</v>
      </c>
      <c r="D48" s="4">
        <v>6953168</v>
      </c>
      <c r="E48" s="4">
        <v>12</v>
      </c>
      <c r="F48" s="4">
        <v>8</v>
      </c>
      <c r="G48" s="4">
        <v>10</v>
      </c>
      <c r="H48" s="21">
        <f>(32+40+34)/3</f>
        <v>35.333333333333336</v>
      </c>
      <c r="I48" s="22">
        <f t="shared" ref="I48" si="9">SUM(E48:H48)</f>
        <v>65.333333333333343</v>
      </c>
      <c r="J48" s="21">
        <v>0</v>
      </c>
      <c r="K48" s="23">
        <f t="shared" ref="K48" si="10">+I48+J48</f>
        <v>65.333333333333343</v>
      </c>
      <c r="L48" s="5" t="s">
        <v>51</v>
      </c>
    </row>
    <row r="49" spans="1:12" s="29" customFormat="1" ht="18.75" x14ac:dyDescent="0.25">
      <c r="A49" s="25">
        <v>2</v>
      </c>
      <c r="B49" s="26" t="s">
        <v>22</v>
      </c>
      <c r="C49" s="7">
        <v>72791923</v>
      </c>
      <c r="D49" s="7">
        <v>6957441</v>
      </c>
      <c r="E49" s="7">
        <v>12</v>
      </c>
      <c r="F49" s="7">
        <v>8</v>
      </c>
      <c r="G49" s="7">
        <f>5.2+4</f>
        <v>9.1999999999999993</v>
      </c>
      <c r="H49" s="22" t="s">
        <v>49</v>
      </c>
      <c r="I49" s="22">
        <v>0</v>
      </c>
      <c r="J49" s="22">
        <v>0</v>
      </c>
      <c r="K49" s="27">
        <v>0</v>
      </c>
      <c r="L49" s="28"/>
    </row>
    <row r="50" spans="1:12" s="29" customFormat="1" ht="18.75" x14ac:dyDescent="0.25">
      <c r="A50" s="25">
        <v>3</v>
      </c>
      <c r="B50" s="26" t="s">
        <v>21</v>
      </c>
      <c r="C50" s="7">
        <v>70683558</v>
      </c>
      <c r="D50" s="7">
        <v>6943693</v>
      </c>
      <c r="E50" s="7">
        <v>12</v>
      </c>
      <c r="F50" s="7">
        <v>5</v>
      </c>
      <c r="G50" s="7">
        <v>8.4</v>
      </c>
      <c r="H50" s="22" t="s">
        <v>49</v>
      </c>
      <c r="I50" s="22">
        <v>0</v>
      </c>
      <c r="J50" s="22">
        <v>0</v>
      </c>
      <c r="K50" s="27">
        <v>0</v>
      </c>
      <c r="L50" s="28"/>
    </row>
    <row r="51" spans="1:12" ht="18.75" x14ac:dyDescent="0.25">
      <c r="B51" s="9"/>
      <c r="C51" s="10"/>
      <c r="D51" s="10"/>
      <c r="E51" s="10"/>
      <c r="F51" s="10"/>
      <c r="G51" s="10"/>
      <c r="H51" s="10"/>
      <c r="I51" s="10"/>
      <c r="J51" s="10"/>
      <c r="K51" s="11"/>
      <c r="L51" s="12"/>
    </row>
    <row r="53" spans="1:12" ht="18.75" x14ac:dyDescent="0.25">
      <c r="A53" s="40" t="s">
        <v>12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</row>
    <row r="54" spans="1:12" ht="15.75" customHeight="1" x14ac:dyDescent="0.2">
      <c r="A54" s="37" t="s">
        <v>43</v>
      </c>
      <c r="B54" s="37" t="s">
        <v>0</v>
      </c>
      <c r="C54" s="38" t="s">
        <v>1</v>
      </c>
      <c r="D54" s="39" t="s">
        <v>2</v>
      </c>
      <c r="E54" s="42" t="s">
        <v>3</v>
      </c>
      <c r="F54" s="43"/>
      <c r="G54" s="43"/>
      <c r="H54" s="44"/>
      <c r="I54" s="35" t="s">
        <v>47</v>
      </c>
      <c r="J54" s="34">
        <v>0.15</v>
      </c>
      <c r="K54" s="41" t="s">
        <v>45</v>
      </c>
      <c r="L54" s="41" t="s">
        <v>4</v>
      </c>
    </row>
    <row r="55" spans="1:12" ht="30" x14ac:dyDescent="0.2">
      <c r="A55" s="37"/>
      <c r="B55" s="37"/>
      <c r="C55" s="38"/>
      <c r="D55" s="39"/>
      <c r="E55" s="8" t="s">
        <v>5</v>
      </c>
      <c r="F55" s="8" t="s">
        <v>6</v>
      </c>
      <c r="G55" s="8" t="s">
        <v>7</v>
      </c>
      <c r="H55" s="13" t="s">
        <v>44</v>
      </c>
      <c r="I55" s="36"/>
      <c r="J55" s="20" t="s">
        <v>46</v>
      </c>
      <c r="K55" s="41"/>
      <c r="L55" s="41"/>
    </row>
    <row r="56" spans="1:12" s="14" customFormat="1" ht="18.75" x14ac:dyDescent="0.25">
      <c r="A56" s="19">
        <v>1</v>
      </c>
      <c r="B56" s="3" t="s">
        <v>37</v>
      </c>
      <c r="C56" s="4">
        <v>23098826</v>
      </c>
      <c r="D56" s="4">
        <v>6945404</v>
      </c>
      <c r="E56" s="4">
        <v>18</v>
      </c>
      <c r="F56" s="4">
        <v>8</v>
      </c>
      <c r="G56" s="4">
        <v>5</v>
      </c>
      <c r="H56" s="21">
        <f>(34+34+40)/3</f>
        <v>36</v>
      </c>
      <c r="I56" s="22">
        <f>SUM(E56:H56)</f>
        <v>67</v>
      </c>
      <c r="J56" s="21">
        <v>0</v>
      </c>
      <c r="K56" s="23">
        <f>+I56+J56</f>
        <v>67</v>
      </c>
      <c r="L56" s="5" t="s">
        <v>51</v>
      </c>
    </row>
    <row r="57" spans="1:12" s="29" customFormat="1" ht="18.75" x14ac:dyDescent="0.25">
      <c r="A57" s="25">
        <v>2</v>
      </c>
      <c r="B57" s="26" t="s">
        <v>24</v>
      </c>
      <c r="C57" s="7">
        <v>10411499</v>
      </c>
      <c r="D57" s="7">
        <v>6972601</v>
      </c>
      <c r="E57" s="7">
        <v>12</v>
      </c>
      <c r="F57" s="7">
        <f>10+2</f>
        <v>12</v>
      </c>
      <c r="G57" s="7">
        <f>4.6+10</f>
        <v>14.6</v>
      </c>
      <c r="H57" s="22">
        <f>(22+22+24)/3</f>
        <v>22.666666666666668</v>
      </c>
      <c r="I57" s="22">
        <f t="shared" ref="I57" si="11">SUM(E57:H57)</f>
        <v>61.266666666666666</v>
      </c>
      <c r="J57" s="22">
        <v>0</v>
      </c>
      <c r="K57" s="27">
        <f t="shared" ref="K57" si="12">+I57+J57</f>
        <v>61.266666666666666</v>
      </c>
      <c r="L57" s="28" t="s">
        <v>52</v>
      </c>
    </row>
    <row r="58" spans="1:12" s="29" customFormat="1" ht="18.75" x14ac:dyDescent="0.25">
      <c r="A58" s="25">
        <v>3</v>
      </c>
      <c r="B58" s="26" t="s">
        <v>39</v>
      </c>
      <c r="C58" s="7">
        <v>76038314</v>
      </c>
      <c r="D58" s="7">
        <v>6956386</v>
      </c>
      <c r="E58" s="7">
        <v>12</v>
      </c>
      <c r="F58" s="7">
        <v>8</v>
      </c>
      <c r="G58" s="7">
        <v>10</v>
      </c>
      <c r="H58" s="22">
        <f>(28+26+20)/3</f>
        <v>24.666666666666668</v>
      </c>
      <c r="I58" s="22">
        <f>SUM(E58:H58)</f>
        <v>54.666666666666671</v>
      </c>
      <c r="J58" s="22">
        <v>0</v>
      </c>
      <c r="K58" s="27">
        <f>+I58+J58</f>
        <v>54.666666666666671</v>
      </c>
      <c r="L58" s="28" t="s">
        <v>52</v>
      </c>
    </row>
    <row r="59" spans="1:12" s="29" customFormat="1" ht="18.75" x14ac:dyDescent="0.25">
      <c r="A59" s="25">
        <v>4</v>
      </c>
      <c r="B59" s="26" t="s">
        <v>48</v>
      </c>
      <c r="C59" s="7">
        <v>71389641</v>
      </c>
      <c r="D59" s="7">
        <v>6947771</v>
      </c>
      <c r="E59" s="7">
        <v>12</v>
      </c>
      <c r="F59" s="7">
        <v>13</v>
      </c>
      <c r="G59" s="7">
        <v>3.4</v>
      </c>
      <c r="H59" s="22">
        <f>(28+26+22)/3</f>
        <v>25.333333333333332</v>
      </c>
      <c r="I59" s="22">
        <f>SUM(E59:H59)</f>
        <v>53.733333333333334</v>
      </c>
      <c r="J59" s="22">
        <v>0</v>
      </c>
      <c r="K59" s="27">
        <f>+I59+J59</f>
        <v>53.733333333333334</v>
      </c>
      <c r="L59" s="28" t="s">
        <v>52</v>
      </c>
    </row>
    <row r="60" spans="1:12" s="29" customFormat="1" ht="18.75" x14ac:dyDescent="0.25">
      <c r="A60" s="25">
        <v>5</v>
      </c>
      <c r="B60" s="26" t="s">
        <v>38</v>
      </c>
      <c r="C60" s="7">
        <v>71382213</v>
      </c>
      <c r="D60" s="7">
        <v>6956130</v>
      </c>
      <c r="E60" s="7">
        <v>12</v>
      </c>
      <c r="F60" s="7">
        <v>11.2</v>
      </c>
      <c r="G60" s="7">
        <v>9</v>
      </c>
      <c r="H60" s="22">
        <f>(24+20+18)/3</f>
        <v>20.666666666666668</v>
      </c>
      <c r="I60" s="22">
        <f>SUM(E60:H60)</f>
        <v>52.866666666666674</v>
      </c>
      <c r="J60" s="22">
        <v>0</v>
      </c>
      <c r="K60" s="27">
        <f>+I60+J60</f>
        <v>52.866666666666674</v>
      </c>
      <c r="L60" s="28" t="s">
        <v>52</v>
      </c>
    </row>
  </sheetData>
  <mergeCells count="45">
    <mergeCell ref="L54:L55"/>
    <mergeCell ref="A7:L7"/>
    <mergeCell ref="B54:B55"/>
    <mergeCell ref="C54:C55"/>
    <mergeCell ref="D54:D55"/>
    <mergeCell ref="K54:K55"/>
    <mergeCell ref="E54:H54"/>
    <mergeCell ref="I54:I55"/>
    <mergeCell ref="A54:A55"/>
    <mergeCell ref="A27:A28"/>
    <mergeCell ref="A16:A17"/>
    <mergeCell ref="A8:A9"/>
    <mergeCell ref="A53:L53"/>
    <mergeCell ref="L16:L17"/>
    <mergeCell ref="B16:B17"/>
    <mergeCell ref="C16:C17"/>
    <mergeCell ref="L27:L28"/>
    <mergeCell ref="B5:L6"/>
    <mergeCell ref="B8:B9"/>
    <mergeCell ref="C8:C9"/>
    <mergeCell ref="D8:D9"/>
    <mergeCell ref="K8:K9"/>
    <mergeCell ref="E8:H8"/>
    <mergeCell ref="I8:I9"/>
    <mergeCell ref="I27:I28"/>
    <mergeCell ref="D16:D17"/>
    <mergeCell ref="K16:K17"/>
    <mergeCell ref="E16:H16"/>
    <mergeCell ref="I16:I17"/>
    <mergeCell ref="I46:I47"/>
    <mergeCell ref="B46:B47"/>
    <mergeCell ref="C46:C47"/>
    <mergeCell ref="D46:D47"/>
    <mergeCell ref="A15:L15"/>
    <mergeCell ref="A26:L26"/>
    <mergeCell ref="A45:L45"/>
    <mergeCell ref="A46:A47"/>
    <mergeCell ref="K46:K47"/>
    <mergeCell ref="L46:L47"/>
    <mergeCell ref="B27:B28"/>
    <mergeCell ref="C27:C28"/>
    <mergeCell ref="D27:D28"/>
    <mergeCell ref="K27:K28"/>
    <mergeCell ref="E46:H46"/>
    <mergeCell ref="E27:H27"/>
  </mergeCells>
  <pageMargins left="0.62992125984251968" right="0.23622047244094491" top="0.74803149606299213" bottom="0.74803149606299213" header="0.31496062992125984" footer="0.31496062992125984"/>
  <pageSetup scale="55"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Hoja3</vt:lpstr>
      <vt:lpstr>Hoja3!Área_de_impresión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ASESORIA LEGAL</dc:creator>
  <cp:lastModifiedBy>victor inocente acuña</cp:lastModifiedBy>
  <cp:lastPrinted>2024-10-30T23:53:23Z</cp:lastPrinted>
  <dcterms:created xsi:type="dcterms:W3CDTF">2023-05-02T23:01:47Z</dcterms:created>
  <dcterms:modified xsi:type="dcterms:W3CDTF">2026-03-13T01:12:19Z</dcterms:modified>
</cp:coreProperties>
</file>